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bias\OneDrive - ViaUC\skole\hus\Værktøjer\"/>
    </mc:Choice>
  </mc:AlternateContent>
  <xr:revisionPtr revIDLastSave="10" documentId="8_{03D7706E-FCA0-4C32-8858-46492B5CEF88}" xr6:coauthVersionLast="41" xr6:coauthVersionMax="41" xr10:uidLastSave="{F3667959-A171-49A4-8676-0D49B6920234}"/>
  <bookViews>
    <workbookView xWindow="0" yWindow="2280" windowWidth="21600" windowHeight="11385" xr2:uid="{79AF787F-9C3B-43FE-8B95-6B81EDD1646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U6" i="1"/>
  <c r="U17" i="1"/>
  <c r="B21" i="1" l="1"/>
  <c r="C21" i="1" s="1"/>
  <c r="B11" i="1"/>
  <c r="C11" i="1" s="1"/>
  <c r="O11" i="1"/>
  <c r="H6" i="1"/>
  <c r="H29" i="1"/>
  <c r="I29" i="1" s="1"/>
  <c r="H30" i="1"/>
  <c r="I30" i="1" s="1"/>
  <c r="N6" i="1"/>
  <c r="O6" i="1" s="1"/>
  <c r="T30" i="1"/>
  <c r="U30" i="1" s="1"/>
  <c r="T29" i="1"/>
  <c r="U29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6" i="1"/>
  <c r="U16" i="1" s="1"/>
  <c r="T15" i="1"/>
  <c r="U15" i="1" s="1"/>
  <c r="T14" i="1"/>
  <c r="U14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N30" i="1"/>
  <c r="O30" i="1" s="1"/>
  <c r="N28" i="1"/>
  <c r="O28" i="1" s="1"/>
  <c r="N29" i="1"/>
  <c r="O29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0" i="1"/>
  <c r="O10" i="1" s="1"/>
  <c r="N9" i="1"/>
  <c r="O9" i="1" s="1"/>
  <c r="N8" i="1"/>
  <c r="O8" i="1" s="1"/>
  <c r="N7" i="1"/>
  <c r="O7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</calcChain>
</file>

<file path=xl/sharedStrings.xml><?xml version="1.0" encoding="utf-8"?>
<sst xmlns="http://schemas.openxmlformats.org/spreadsheetml/2006/main" count="129" uniqueCount="114">
  <si>
    <t>Hældningsskema</t>
  </si>
  <si>
    <t>1:1</t>
  </si>
  <si>
    <t>1:2</t>
  </si>
  <si>
    <t>1:3</t>
  </si>
  <si>
    <t>1:4</t>
  </si>
  <si>
    <t>1:5</t>
  </si>
  <si>
    <t>1:6</t>
  </si>
  <si>
    <t>1:7</t>
  </si>
  <si>
    <t>1:8</t>
  </si>
  <si>
    <t>1:9</t>
  </si>
  <si>
    <t>1:10</t>
  </si>
  <si>
    <t>1:11</t>
  </si>
  <si>
    <t>1:12</t>
  </si>
  <si>
    <t>1:13</t>
  </si>
  <si>
    <t>1:14</t>
  </si>
  <si>
    <t>1:15</t>
  </si>
  <si>
    <t>1:16</t>
  </si>
  <si>
    <t>1:17</t>
  </si>
  <si>
    <t>1:18</t>
  </si>
  <si>
    <t>1:19</t>
  </si>
  <si>
    <t>1:20</t>
  </si>
  <si>
    <t>1:21</t>
  </si>
  <si>
    <t>1:22</t>
  </si>
  <si>
    <t>1:23</t>
  </si>
  <si>
    <t>1:24</t>
  </si>
  <si>
    <t>1:25</t>
  </si>
  <si>
    <t>1:26</t>
  </si>
  <si>
    <t>1:27</t>
  </si>
  <si>
    <t>1:28</t>
  </si>
  <si>
    <t>1:29</t>
  </si>
  <si>
    <t>1:30</t>
  </si>
  <si>
    <t>1:31</t>
  </si>
  <si>
    <t>1:32</t>
  </si>
  <si>
    <t>1:33</t>
  </si>
  <si>
    <t>1:34</t>
  </si>
  <si>
    <t>1:35</t>
  </si>
  <si>
    <t>1:36</t>
  </si>
  <si>
    <t>1:37</t>
  </si>
  <si>
    <t>1:38</t>
  </si>
  <si>
    <t>1:39</t>
  </si>
  <si>
    <t>1:40</t>
  </si>
  <si>
    <t>1:41</t>
  </si>
  <si>
    <t>1:42</t>
  </si>
  <si>
    <t>1:43</t>
  </si>
  <si>
    <t>1:44</t>
  </si>
  <si>
    <t>1:45</t>
  </si>
  <si>
    <t>1:46</t>
  </si>
  <si>
    <t>1:47</t>
  </si>
  <si>
    <t>1:48</t>
  </si>
  <si>
    <t>1:49</t>
  </si>
  <si>
    <t>1:50</t>
  </si>
  <si>
    <t>1:51</t>
  </si>
  <si>
    <t>1:52</t>
  </si>
  <si>
    <t>1:53</t>
  </si>
  <si>
    <t>1:54</t>
  </si>
  <si>
    <t>1:55</t>
  </si>
  <si>
    <t>1:56</t>
  </si>
  <si>
    <t>1:57</t>
  </si>
  <si>
    <t>1:58</t>
  </si>
  <si>
    <t>1:59</t>
  </si>
  <si>
    <t>1:60</t>
  </si>
  <si>
    <t>1:61</t>
  </si>
  <si>
    <t>1:62</t>
  </si>
  <si>
    <t>1:63</t>
  </si>
  <si>
    <t>1:64</t>
  </si>
  <si>
    <t>1:65</t>
  </si>
  <si>
    <t>1:66</t>
  </si>
  <si>
    <t>1:67</t>
  </si>
  <si>
    <t>1:68</t>
  </si>
  <si>
    <t>1:69</t>
  </si>
  <si>
    <t>1:70</t>
  </si>
  <si>
    <t>1:71</t>
  </si>
  <si>
    <t>1:72</t>
  </si>
  <si>
    <t>1:73</t>
  </si>
  <si>
    <t>1:74</t>
  </si>
  <si>
    <t>1:75</t>
  </si>
  <si>
    <t>1:76</t>
  </si>
  <si>
    <t>1:77</t>
  </si>
  <si>
    <t>1:78</t>
  </si>
  <si>
    <t>1:79</t>
  </si>
  <si>
    <t>1:80</t>
  </si>
  <si>
    <t>1:81</t>
  </si>
  <si>
    <t>1:82</t>
  </si>
  <si>
    <t>1:83</t>
  </si>
  <si>
    <t>1:84</t>
  </si>
  <si>
    <t>1:85</t>
  </si>
  <si>
    <t>1:86</t>
  </si>
  <si>
    <t>1:87</t>
  </si>
  <si>
    <t>1:88</t>
  </si>
  <si>
    <t>1:89</t>
  </si>
  <si>
    <t>1:90</t>
  </si>
  <si>
    <t>1:91</t>
  </si>
  <si>
    <t>1:92</t>
  </si>
  <si>
    <t>1:93</t>
  </si>
  <si>
    <t>1:94</t>
  </si>
  <si>
    <t>1:95</t>
  </si>
  <si>
    <t>1:96</t>
  </si>
  <si>
    <t>1:97</t>
  </si>
  <si>
    <t>1:98</t>
  </si>
  <si>
    <t>1:99</t>
  </si>
  <si>
    <t>1:100</t>
  </si>
  <si>
    <t>Hældning</t>
  </si>
  <si>
    <t>Fald i cm/m</t>
  </si>
  <si>
    <t>Grader</t>
  </si>
  <si>
    <t>Fra fald i cm/m 8,3 → grader</t>
  </si>
  <si>
    <t>100/12 = 8,3 cm/m</t>
  </si>
  <si>
    <t>Omregningstabel:</t>
  </si>
  <si>
    <t>1:40 betyder, at der på 40 meter er et fald på 1 meter</t>
  </si>
  <si>
    <t>%</t>
  </si>
  <si>
    <t>‰</t>
  </si>
  <si>
    <t>Rasmus Jonassen Hvidkjær</t>
  </si>
  <si>
    <r>
      <t xml:space="preserve">Fra Hældning 1:12 </t>
    </r>
    <r>
      <rPr>
        <b/>
        <i/>
        <sz val="12"/>
        <color theme="1"/>
        <rFont val="Calibri"/>
        <family val="2"/>
      </rPr>
      <t xml:space="preserve">→fald i cm/m </t>
    </r>
  </si>
  <si>
    <r>
      <t>tan</t>
    </r>
    <r>
      <rPr>
        <b/>
        <i/>
        <vertAlign val="superscript"/>
        <sz val="12"/>
        <color theme="1"/>
        <rFont val="Calibri"/>
        <family val="2"/>
        <scheme val="minor"/>
      </rPr>
      <t>-1</t>
    </r>
    <r>
      <rPr>
        <b/>
        <i/>
        <sz val="12"/>
        <color theme="1"/>
        <rFont val="Calibri"/>
        <family val="2"/>
        <scheme val="minor"/>
      </rPr>
      <t>(8,3/100/1) = 4,77 grader</t>
    </r>
  </si>
  <si>
    <t>1‰ = 1mm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</si>
</sst>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i/>
      <vertAlign val="superscript"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3" borderId="13" applyNumberFormat="0" applyFont="0" applyAlignment="0" applyProtection="0"/>
  </cellStyleXfs>
  <cellXfs count="40">
    <xf numFmtId="0" fontId="0" fillId="0" borderId="0" xfId="0"/>
    <xf numFmtId="0" fontId="3" fillId="0" borderId="0" xfId="0" applyFont="1" applyBorder="1" applyAlignment="1"/>
    <xf numFmtId="0" fontId="2" fillId="0" borderId="0" xfId="0" applyFont="1" applyAlignment="1">
      <alignment horizontal="center"/>
    </xf>
    <xf numFmtId="0" fontId="0" fillId="0" borderId="2" xfId="0" applyBorder="1"/>
    <xf numFmtId="0" fontId="2" fillId="0" borderId="0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4" borderId="7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9" fontId="1" fillId="5" borderId="18" xfId="1" applyNumberFormat="1" applyFont="1" applyFill="1" applyBorder="1" applyAlignment="1">
      <alignment horizontal="center" vertical="center"/>
    </xf>
    <xf numFmtId="9" fontId="1" fillId="5" borderId="19" xfId="1" applyNumberFormat="1" applyFont="1" applyFill="1" applyBorder="1" applyAlignment="1">
      <alignment horizontal="center" vertical="center"/>
    </xf>
    <xf numFmtId="9" fontId="1" fillId="5" borderId="20" xfId="1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</cellXfs>
  <cellStyles count="2">
    <cellStyle name="Bemærk!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C83F-DB57-4404-84C3-2E0BCAF88312}">
  <dimension ref="A1:W45"/>
  <sheetViews>
    <sheetView tabSelected="1" topLeftCell="B1" zoomScaleNormal="100" workbookViewId="0">
      <selection activeCell="E9" sqref="E9"/>
    </sheetView>
  </sheetViews>
  <sheetFormatPr defaultRowHeight="15" x14ac:dyDescent="0.25"/>
  <cols>
    <col min="1" max="1" width="11.140625" bestFit="1" customWidth="1"/>
    <col min="2" max="2" width="13.85546875" bestFit="1" customWidth="1"/>
    <col min="3" max="3" width="8.7109375" bestFit="1" customWidth="1"/>
    <col min="4" max="5" width="9.5703125" customWidth="1"/>
    <col min="6" max="6" width="1.85546875" customWidth="1"/>
    <col min="7" max="7" width="11.140625" bestFit="1" customWidth="1"/>
    <col min="8" max="8" width="13.85546875" bestFit="1" customWidth="1"/>
    <col min="9" max="10" width="9.5703125" customWidth="1"/>
    <col min="11" max="11" width="5.85546875" bestFit="1" customWidth="1"/>
    <col min="12" max="12" width="1.85546875" customWidth="1"/>
    <col min="13" max="13" width="11.140625" bestFit="1" customWidth="1"/>
    <col min="14" max="14" width="13.85546875" bestFit="1" customWidth="1"/>
    <col min="15" max="17" width="9.5703125" customWidth="1"/>
    <col min="18" max="18" width="1.85546875" customWidth="1"/>
    <col min="19" max="19" width="9.5703125" customWidth="1"/>
    <col min="20" max="20" width="13.85546875" bestFit="1" customWidth="1"/>
    <col min="21" max="23" width="9.5703125" customWidth="1"/>
  </cols>
  <sheetData>
    <row r="1" spans="1:23" ht="32.25" thickBot="1" x14ac:dyDescent="0.55000000000000004">
      <c r="F1" s="1"/>
      <c r="I1" s="30" t="s">
        <v>0</v>
      </c>
      <c r="J1" s="31"/>
      <c r="K1" s="31"/>
      <c r="L1" s="31"/>
      <c r="M1" s="31"/>
      <c r="N1" s="31"/>
      <c r="O1" s="32"/>
    </row>
    <row r="4" spans="1:23" ht="15.75" thickBot="1" x14ac:dyDescent="0.3"/>
    <row r="5" spans="1:23" ht="18.75" x14ac:dyDescent="0.3">
      <c r="A5" s="20" t="s">
        <v>101</v>
      </c>
      <c r="B5" s="21" t="s">
        <v>102</v>
      </c>
      <c r="C5" s="21" t="s">
        <v>103</v>
      </c>
      <c r="D5" s="21" t="s">
        <v>108</v>
      </c>
      <c r="E5" s="22" t="s">
        <v>109</v>
      </c>
      <c r="F5" s="2"/>
      <c r="G5" s="20" t="s">
        <v>101</v>
      </c>
      <c r="H5" s="21" t="s">
        <v>102</v>
      </c>
      <c r="I5" s="21" t="s">
        <v>103</v>
      </c>
      <c r="J5" s="21" t="s">
        <v>108</v>
      </c>
      <c r="K5" s="23" t="s">
        <v>109</v>
      </c>
      <c r="L5" s="4"/>
      <c r="M5" s="20" t="s">
        <v>101</v>
      </c>
      <c r="N5" s="21" t="s">
        <v>102</v>
      </c>
      <c r="O5" s="21" t="s">
        <v>103</v>
      </c>
      <c r="P5" s="21" t="s">
        <v>108</v>
      </c>
      <c r="Q5" s="23" t="s">
        <v>109</v>
      </c>
      <c r="R5" s="2"/>
      <c r="S5" s="20" t="s">
        <v>101</v>
      </c>
      <c r="T5" s="21" t="s">
        <v>102</v>
      </c>
      <c r="U5" s="21" t="s">
        <v>103</v>
      </c>
      <c r="V5" s="21" t="s">
        <v>108</v>
      </c>
      <c r="W5" s="23" t="s">
        <v>109</v>
      </c>
    </row>
    <row r="6" spans="1:23" ht="18.75" x14ac:dyDescent="0.3">
      <c r="A6" s="5" t="s">
        <v>1</v>
      </c>
      <c r="B6" s="6">
        <v>100</v>
      </c>
      <c r="C6" s="7">
        <v>45</v>
      </c>
      <c r="D6" s="8">
        <v>100</v>
      </c>
      <c r="E6" s="9">
        <v>1000</v>
      </c>
      <c r="F6" s="2"/>
      <c r="G6" s="5" t="s">
        <v>26</v>
      </c>
      <c r="H6" s="6">
        <f>100/26</f>
        <v>3.8461538461538463</v>
      </c>
      <c r="I6" s="8">
        <v>2.2000000000000002</v>
      </c>
      <c r="J6" s="8">
        <v>3.8</v>
      </c>
      <c r="K6" s="9">
        <f>J6*10</f>
        <v>38</v>
      </c>
      <c r="L6" s="2"/>
      <c r="M6" s="5" t="s">
        <v>51</v>
      </c>
      <c r="N6" s="8">
        <f>100/51</f>
        <v>1.9607843137254901</v>
      </c>
      <c r="O6" s="8">
        <f>DEGREES(N6/100/1)</f>
        <v>1.1234466571192612</v>
      </c>
      <c r="P6" s="8">
        <v>1.96</v>
      </c>
      <c r="Q6" s="9">
        <f>P6*10</f>
        <v>19.600000000000001</v>
      </c>
      <c r="R6" s="2"/>
      <c r="S6" s="5" t="s">
        <v>76</v>
      </c>
      <c r="T6" s="8">
        <f>100/76</f>
        <v>1.3157894736842106</v>
      </c>
      <c r="U6" s="8">
        <f>0.45*7</f>
        <v>3.15</v>
      </c>
      <c r="V6" s="8">
        <v>1.32</v>
      </c>
      <c r="W6" s="9">
        <f>V6*10</f>
        <v>13.200000000000001</v>
      </c>
    </row>
    <row r="7" spans="1:23" ht="18.75" x14ac:dyDescent="0.3">
      <c r="A7" s="10" t="s">
        <v>2</v>
      </c>
      <c r="B7" s="11">
        <v>50</v>
      </c>
      <c r="C7" s="12">
        <v>26.6</v>
      </c>
      <c r="D7" s="13">
        <v>50</v>
      </c>
      <c r="E7" s="14">
        <v>500</v>
      </c>
      <c r="F7" s="2"/>
      <c r="G7" s="10" t="s">
        <v>27</v>
      </c>
      <c r="H7" s="11">
        <f>100/27</f>
        <v>3.7037037037037037</v>
      </c>
      <c r="I7" s="13">
        <f>DEGREES(H7/100/1)</f>
        <v>2.1220659078919377</v>
      </c>
      <c r="J7" s="13">
        <v>3.7</v>
      </c>
      <c r="K7" s="19">
        <f t="shared" ref="K7:K30" si="0">J7*10</f>
        <v>37</v>
      </c>
      <c r="L7" s="2"/>
      <c r="M7" s="10" t="s">
        <v>52</v>
      </c>
      <c r="N7" s="13">
        <f>100/52</f>
        <v>1.9230769230769231</v>
      </c>
      <c r="O7" s="13">
        <f t="shared" ref="O7:O30" si="1">DEGREES(N7/100/1)</f>
        <v>1.1018419137131217</v>
      </c>
      <c r="P7" s="13">
        <v>1.92</v>
      </c>
      <c r="Q7" s="19">
        <f t="shared" ref="Q7:Q30" si="2">P7*10</f>
        <v>19.2</v>
      </c>
      <c r="R7" s="2"/>
      <c r="S7" s="10" t="s">
        <v>77</v>
      </c>
      <c r="T7" s="13">
        <f>100/77</f>
        <v>1.2987012987012987</v>
      </c>
      <c r="U7" s="13">
        <f t="shared" ref="U7:U28" si="3">DEGREES(T7/100/1)</f>
        <v>0.74410103263743277</v>
      </c>
      <c r="V7" s="13">
        <v>1.3</v>
      </c>
      <c r="W7" s="19">
        <f t="shared" ref="W7:W30" si="4">V7*10</f>
        <v>13</v>
      </c>
    </row>
    <row r="8" spans="1:23" ht="18.75" x14ac:dyDescent="0.3">
      <c r="A8" s="5" t="s">
        <v>3</v>
      </c>
      <c r="B8" s="6">
        <v>33.33</v>
      </c>
      <c r="C8" s="7">
        <v>18.399999999999999</v>
      </c>
      <c r="D8" s="8">
        <v>33.33</v>
      </c>
      <c r="E8" s="9">
        <v>333</v>
      </c>
      <c r="F8" s="2"/>
      <c r="G8" s="5" t="s">
        <v>28</v>
      </c>
      <c r="H8" s="6">
        <f>100/28</f>
        <v>3.5714285714285716</v>
      </c>
      <c r="I8" s="8">
        <f t="shared" ref="I8:I30" si="5">DEGREES(H8/100/1)</f>
        <v>2.0462778397529404</v>
      </c>
      <c r="J8" s="8">
        <v>3.6</v>
      </c>
      <c r="K8" s="9">
        <f t="shared" si="0"/>
        <v>36</v>
      </c>
      <c r="L8" s="2"/>
      <c r="M8" s="5" t="s">
        <v>53</v>
      </c>
      <c r="N8" s="8">
        <f>100/53</f>
        <v>1.8867924528301887</v>
      </c>
      <c r="O8" s="8">
        <f t="shared" si="1"/>
        <v>1.0810524436430626</v>
      </c>
      <c r="P8" s="8">
        <v>1.89</v>
      </c>
      <c r="Q8" s="9">
        <f t="shared" si="2"/>
        <v>18.899999999999999</v>
      </c>
      <c r="R8" s="2"/>
      <c r="S8" s="5" t="s">
        <v>78</v>
      </c>
      <c r="T8" s="8">
        <f>100/78</f>
        <v>1.2820512820512822</v>
      </c>
      <c r="U8" s="8">
        <f t="shared" si="3"/>
        <v>0.73456127580874775</v>
      </c>
      <c r="V8" s="8">
        <v>1.28</v>
      </c>
      <c r="W8" s="9">
        <f t="shared" si="4"/>
        <v>12.8</v>
      </c>
    </row>
    <row r="9" spans="1:23" ht="18.75" x14ac:dyDescent="0.3">
      <c r="A9" s="10" t="s">
        <v>4</v>
      </c>
      <c r="B9" s="11">
        <v>25</v>
      </c>
      <c r="C9" s="12">
        <v>14</v>
      </c>
      <c r="D9" s="13">
        <v>25</v>
      </c>
      <c r="E9" s="14">
        <v>250</v>
      </c>
      <c r="F9" s="2"/>
      <c r="G9" s="10" t="s">
        <v>29</v>
      </c>
      <c r="H9" s="11">
        <f>100/29</f>
        <v>3.4482758620689653</v>
      </c>
      <c r="I9" s="13">
        <f t="shared" si="5"/>
        <v>1.9757165349338732</v>
      </c>
      <c r="J9" s="13">
        <v>3.4</v>
      </c>
      <c r="K9" s="19">
        <f t="shared" si="0"/>
        <v>34</v>
      </c>
      <c r="L9" s="2"/>
      <c r="M9" s="10" t="s">
        <v>54</v>
      </c>
      <c r="N9" s="13">
        <f>100/54</f>
        <v>1.8518518518518519</v>
      </c>
      <c r="O9" s="13">
        <f t="shared" si="1"/>
        <v>1.0610329539459689</v>
      </c>
      <c r="P9" s="13">
        <v>1.85</v>
      </c>
      <c r="Q9" s="19">
        <f t="shared" si="2"/>
        <v>18.5</v>
      </c>
      <c r="R9" s="2"/>
      <c r="S9" s="10" t="s">
        <v>79</v>
      </c>
      <c r="T9" s="13">
        <f>100/79</f>
        <v>1.2658227848101267</v>
      </c>
      <c r="U9" s="13">
        <f t="shared" si="3"/>
        <v>0.72526303181116869</v>
      </c>
      <c r="V9" s="13">
        <v>1.27</v>
      </c>
      <c r="W9" s="19">
        <f t="shared" si="4"/>
        <v>12.7</v>
      </c>
    </row>
    <row r="10" spans="1:23" ht="18.75" x14ac:dyDescent="0.3">
      <c r="A10" s="5" t="s">
        <v>5</v>
      </c>
      <c r="B10" s="6">
        <v>20</v>
      </c>
      <c r="C10" s="7">
        <v>11.3</v>
      </c>
      <c r="D10" s="8">
        <v>20</v>
      </c>
      <c r="E10" s="9">
        <v>200</v>
      </c>
      <c r="F10" s="2"/>
      <c r="G10" s="5" t="s">
        <v>30</v>
      </c>
      <c r="H10" s="6">
        <f>100/30</f>
        <v>3.3333333333333335</v>
      </c>
      <c r="I10" s="8">
        <f t="shared" si="5"/>
        <v>1.909859317102744</v>
      </c>
      <c r="J10" s="8">
        <v>3.3</v>
      </c>
      <c r="K10" s="9">
        <f t="shared" si="0"/>
        <v>33</v>
      </c>
      <c r="L10" s="2"/>
      <c r="M10" s="5" t="s">
        <v>55</v>
      </c>
      <c r="N10" s="8">
        <f>100/55</f>
        <v>1.8181818181818181</v>
      </c>
      <c r="O10" s="8">
        <f t="shared" si="1"/>
        <v>1.0417414456924059</v>
      </c>
      <c r="P10" s="8">
        <v>1.82</v>
      </c>
      <c r="Q10" s="9">
        <f t="shared" si="2"/>
        <v>18.2</v>
      </c>
      <c r="R10" s="2"/>
      <c r="S10" s="5" t="s">
        <v>80</v>
      </c>
      <c r="T10" s="8">
        <f>100/80</f>
        <v>1.25</v>
      </c>
      <c r="U10" s="8">
        <f t="shared" si="3"/>
        <v>0.71619724391352912</v>
      </c>
      <c r="V10" s="8">
        <v>1.25</v>
      </c>
      <c r="W10" s="9">
        <f t="shared" si="4"/>
        <v>12.5</v>
      </c>
    </row>
    <row r="11" spans="1:23" ht="18.75" x14ac:dyDescent="0.3">
      <c r="A11" s="10" t="s">
        <v>6</v>
      </c>
      <c r="B11" s="11">
        <f>100/6</f>
        <v>16.666666666666668</v>
      </c>
      <c r="C11" s="13">
        <f>DEGREES(B11/100/1)</f>
        <v>9.5492965855137211</v>
      </c>
      <c r="D11" s="13">
        <v>16.7</v>
      </c>
      <c r="E11" s="14">
        <v>167</v>
      </c>
      <c r="F11" s="2"/>
      <c r="G11" s="10" t="s">
        <v>31</v>
      </c>
      <c r="H11" s="11">
        <f>100/31</f>
        <v>3.225806451612903</v>
      </c>
      <c r="I11" s="13">
        <f t="shared" si="5"/>
        <v>1.8482509520349135</v>
      </c>
      <c r="J11" s="13">
        <v>3.2</v>
      </c>
      <c r="K11" s="19">
        <f t="shared" si="0"/>
        <v>32</v>
      </c>
      <c r="L11" s="2"/>
      <c r="M11" s="10" t="s">
        <v>56</v>
      </c>
      <c r="N11" s="13">
        <v>1.7857142857142858</v>
      </c>
      <c r="O11" s="13">
        <f t="shared" si="1"/>
        <v>1.0231389198764702</v>
      </c>
      <c r="P11" s="13">
        <v>1.79</v>
      </c>
      <c r="Q11" s="19">
        <f t="shared" si="2"/>
        <v>17.899999999999999</v>
      </c>
      <c r="R11" s="2"/>
      <c r="S11" s="10" t="s">
        <v>81</v>
      </c>
      <c r="T11" s="13">
        <f>100/81</f>
        <v>1.2345679012345678</v>
      </c>
      <c r="U11" s="13">
        <f t="shared" si="3"/>
        <v>0.70735530263064594</v>
      </c>
      <c r="V11" s="13">
        <v>1.23</v>
      </c>
      <c r="W11" s="19">
        <f t="shared" si="4"/>
        <v>12.3</v>
      </c>
    </row>
    <row r="12" spans="1:23" ht="18.75" x14ac:dyDescent="0.3">
      <c r="A12" s="5" t="s">
        <v>7</v>
      </c>
      <c r="B12" s="6">
        <f>100/7</f>
        <v>14.285714285714286</v>
      </c>
      <c r="C12" s="8">
        <f t="shared" ref="C12:C25" si="6">DEGREES(B12/100/1)</f>
        <v>8.1851113590117617</v>
      </c>
      <c r="D12" s="8">
        <v>14.3</v>
      </c>
      <c r="E12" s="9">
        <f>D12*10</f>
        <v>143</v>
      </c>
      <c r="F12" s="2"/>
      <c r="G12" s="5" t="s">
        <v>32</v>
      </c>
      <c r="H12" s="6">
        <f>100/32</f>
        <v>3.125</v>
      </c>
      <c r="I12" s="8">
        <f t="shared" si="5"/>
        <v>1.7904931097838226</v>
      </c>
      <c r="J12" s="8">
        <v>3.1</v>
      </c>
      <c r="K12" s="9">
        <f t="shared" si="0"/>
        <v>31</v>
      </c>
      <c r="L12" s="2"/>
      <c r="M12" s="5" t="s">
        <v>57</v>
      </c>
      <c r="N12" s="8">
        <f>100/57</f>
        <v>1.7543859649122806</v>
      </c>
      <c r="O12" s="8">
        <f t="shared" si="1"/>
        <v>1.0051891142646021</v>
      </c>
      <c r="P12" s="8">
        <v>1.75</v>
      </c>
      <c r="Q12" s="9">
        <f t="shared" si="2"/>
        <v>17.5</v>
      </c>
      <c r="R12" s="2"/>
      <c r="S12" s="5" t="s">
        <v>82</v>
      </c>
      <c r="T12" s="8">
        <f>100/82</f>
        <v>1.2195121951219512</v>
      </c>
      <c r="U12" s="8">
        <f t="shared" si="3"/>
        <v>0.69872901845222346</v>
      </c>
      <c r="V12" s="8">
        <v>1.22</v>
      </c>
      <c r="W12" s="9">
        <f t="shared" si="4"/>
        <v>12.2</v>
      </c>
    </row>
    <row r="13" spans="1:23" ht="18.75" x14ac:dyDescent="0.3">
      <c r="A13" s="10" t="s">
        <v>8</v>
      </c>
      <c r="B13" s="11">
        <f>100/8</f>
        <v>12.5</v>
      </c>
      <c r="C13" s="13">
        <f>DEGREES(B13/100/1)</f>
        <v>7.1619724391352904</v>
      </c>
      <c r="D13" s="13">
        <v>12.5</v>
      </c>
      <c r="E13" s="19">
        <f t="shared" ref="E13:E30" si="7">D13*10</f>
        <v>125</v>
      </c>
      <c r="F13" s="2"/>
      <c r="G13" s="10" t="s">
        <v>33</v>
      </c>
      <c r="H13" s="11">
        <f>100/33</f>
        <v>3.0303030303030303</v>
      </c>
      <c r="I13" s="13">
        <f t="shared" si="5"/>
        <v>1.7362357428206765</v>
      </c>
      <c r="J13" s="13">
        <v>3</v>
      </c>
      <c r="K13" s="19">
        <f t="shared" si="0"/>
        <v>30</v>
      </c>
      <c r="L13" s="2"/>
      <c r="M13" s="10" t="s">
        <v>58</v>
      </c>
      <c r="N13" s="13">
        <f>100/58</f>
        <v>1.7241379310344827</v>
      </c>
      <c r="O13" s="13">
        <f t="shared" si="1"/>
        <v>0.98785826746693661</v>
      </c>
      <c r="P13" s="13">
        <v>1.72</v>
      </c>
      <c r="Q13" s="19">
        <f t="shared" si="2"/>
        <v>17.2</v>
      </c>
      <c r="R13" s="2"/>
      <c r="S13" s="10" t="s">
        <v>83</v>
      </c>
      <c r="T13" s="13">
        <f>100/83</f>
        <v>1.2048192771084338</v>
      </c>
      <c r="U13" s="13">
        <f t="shared" si="3"/>
        <v>0.69031059654316052</v>
      </c>
      <c r="V13" s="13">
        <v>1.2</v>
      </c>
      <c r="W13" s="19">
        <f t="shared" si="4"/>
        <v>12</v>
      </c>
    </row>
    <row r="14" spans="1:23" ht="18.75" x14ac:dyDescent="0.3">
      <c r="A14" s="5" t="s">
        <v>9</v>
      </c>
      <c r="B14" s="6">
        <f>100/9</f>
        <v>11.111111111111111</v>
      </c>
      <c r="C14" s="8">
        <f t="shared" si="6"/>
        <v>6.3661977236758132</v>
      </c>
      <c r="D14" s="8">
        <v>11.1</v>
      </c>
      <c r="E14" s="9">
        <f t="shared" si="7"/>
        <v>111</v>
      </c>
      <c r="F14" s="2"/>
      <c r="G14" s="5" t="s">
        <v>34</v>
      </c>
      <c r="H14" s="8">
        <f>100/34</f>
        <v>2.9411764705882355</v>
      </c>
      <c r="I14" s="8">
        <f t="shared" si="5"/>
        <v>1.685169985678892</v>
      </c>
      <c r="J14" s="8">
        <v>2.94</v>
      </c>
      <c r="K14" s="9">
        <f t="shared" si="0"/>
        <v>29.4</v>
      </c>
      <c r="L14" s="2"/>
      <c r="M14" s="5" t="s">
        <v>59</v>
      </c>
      <c r="N14" s="8">
        <f>100/59</f>
        <v>1.6949152542372881</v>
      </c>
      <c r="O14" s="8">
        <f t="shared" si="1"/>
        <v>0.97111490700139524</v>
      </c>
      <c r="P14" s="8">
        <v>1.69</v>
      </c>
      <c r="Q14" s="9">
        <f t="shared" si="2"/>
        <v>16.899999999999999</v>
      </c>
      <c r="R14" s="2"/>
      <c r="S14" s="5" t="s">
        <v>84</v>
      </c>
      <c r="T14" s="8">
        <f>100/84</f>
        <v>1.1904761904761905</v>
      </c>
      <c r="U14" s="8">
        <f t="shared" si="3"/>
        <v>0.68209261325098003</v>
      </c>
      <c r="V14" s="8">
        <v>1.19</v>
      </c>
      <c r="W14" s="9">
        <f t="shared" si="4"/>
        <v>11.899999999999999</v>
      </c>
    </row>
    <row r="15" spans="1:23" ht="18.75" x14ac:dyDescent="0.3">
      <c r="A15" s="10" t="s">
        <v>10</v>
      </c>
      <c r="B15" s="11">
        <f>100/10</f>
        <v>10</v>
      </c>
      <c r="C15" s="13">
        <f t="shared" si="6"/>
        <v>5.729577951308233</v>
      </c>
      <c r="D15" s="13">
        <v>10</v>
      </c>
      <c r="E15" s="19">
        <f t="shared" si="7"/>
        <v>100</v>
      </c>
      <c r="F15" s="2"/>
      <c r="G15" s="10" t="s">
        <v>35</v>
      </c>
      <c r="H15" s="13">
        <f>100/35</f>
        <v>2.8571428571428572</v>
      </c>
      <c r="I15" s="13">
        <f t="shared" si="5"/>
        <v>1.6370222718023519</v>
      </c>
      <c r="J15" s="13">
        <v>2.86</v>
      </c>
      <c r="K15" s="19">
        <f t="shared" si="0"/>
        <v>28.599999999999998</v>
      </c>
      <c r="L15" s="2"/>
      <c r="M15" s="10" t="s">
        <v>60</v>
      </c>
      <c r="N15" s="13">
        <f>100/60</f>
        <v>1.6666666666666667</v>
      </c>
      <c r="O15" s="13">
        <f t="shared" si="1"/>
        <v>0.95492965855137202</v>
      </c>
      <c r="P15" s="13">
        <v>1.67</v>
      </c>
      <c r="Q15" s="19">
        <f t="shared" si="2"/>
        <v>16.7</v>
      </c>
      <c r="R15" s="2"/>
      <c r="S15" s="10" t="s">
        <v>85</v>
      </c>
      <c r="T15" s="13">
        <f>100/85</f>
        <v>1.1764705882352942</v>
      </c>
      <c r="U15" s="13">
        <f t="shared" si="3"/>
        <v>0.67406799427155673</v>
      </c>
      <c r="V15" s="13">
        <v>1.18</v>
      </c>
      <c r="W15" s="19">
        <f t="shared" si="4"/>
        <v>11.799999999999999</v>
      </c>
    </row>
    <row r="16" spans="1:23" ht="18.75" x14ac:dyDescent="0.3">
      <c r="A16" s="5" t="s">
        <v>11</v>
      </c>
      <c r="B16" s="6">
        <f>100/11</f>
        <v>9.0909090909090917</v>
      </c>
      <c r="C16" s="8">
        <f t="shared" si="6"/>
        <v>5.2087072284620293</v>
      </c>
      <c r="D16" s="8">
        <v>9.1</v>
      </c>
      <c r="E16" s="9">
        <f t="shared" si="7"/>
        <v>91</v>
      </c>
      <c r="F16" s="2"/>
      <c r="G16" s="5" t="s">
        <v>36</v>
      </c>
      <c r="H16" s="8">
        <f>100/36</f>
        <v>2.7777777777777777</v>
      </c>
      <c r="I16" s="8">
        <f t="shared" si="5"/>
        <v>1.5915494309189533</v>
      </c>
      <c r="J16" s="8">
        <v>2.78</v>
      </c>
      <c r="K16" s="9">
        <f t="shared" si="0"/>
        <v>27.799999999999997</v>
      </c>
      <c r="L16" s="2"/>
      <c r="M16" s="5" t="s">
        <v>61</v>
      </c>
      <c r="N16" s="8">
        <f>100/61</f>
        <v>1.639344262295082</v>
      </c>
      <c r="O16" s="8">
        <f t="shared" si="1"/>
        <v>0.93927507398495613</v>
      </c>
      <c r="P16" s="8">
        <v>1.64</v>
      </c>
      <c r="Q16" s="9">
        <f t="shared" si="2"/>
        <v>16.399999999999999</v>
      </c>
      <c r="R16" s="2"/>
      <c r="S16" s="5" t="s">
        <v>86</v>
      </c>
      <c r="T16" s="8">
        <f>100/86</f>
        <v>1.1627906976744187</v>
      </c>
      <c r="U16" s="8">
        <f t="shared" si="3"/>
        <v>0.66622999433816654</v>
      </c>
      <c r="V16" s="8">
        <v>1.1599999999999999</v>
      </c>
      <c r="W16" s="9">
        <f t="shared" si="4"/>
        <v>11.6</v>
      </c>
    </row>
    <row r="17" spans="1:23" ht="18.75" x14ac:dyDescent="0.3">
      <c r="A17" s="10" t="s">
        <v>12</v>
      </c>
      <c r="B17" s="11">
        <f>100/12</f>
        <v>8.3333333333333339</v>
      </c>
      <c r="C17" s="13">
        <f t="shared" si="6"/>
        <v>4.7746482927568605</v>
      </c>
      <c r="D17" s="13">
        <v>8.3000000000000007</v>
      </c>
      <c r="E17" s="19">
        <f t="shared" si="7"/>
        <v>83</v>
      </c>
      <c r="F17" s="2"/>
      <c r="G17" s="10" t="s">
        <v>37</v>
      </c>
      <c r="H17" s="13">
        <f>100/37</f>
        <v>2.7027027027027026</v>
      </c>
      <c r="I17" s="13">
        <f t="shared" si="5"/>
        <v>1.5485345814346572</v>
      </c>
      <c r="J17" s="13">
        <v>2.7</v>
      </c>
      <c r="K17" s="19">
        <f t="shared" si="0"/>
        <v>27</v>
      </c>
      <c r="L17" s="2"/>
      <c r="M17" s="10" t="s">
        <v>62</v>
      </c>
      <c r="N17" s="13">
        <f>100/62</f>
        <v>1.6129032258064515</v>
      </c>
      <c r="O17" s="13">
        <f t="shared" si="1"/>
        <v>0.92412547601745676</v>
      </c>
      <c r="P17" s="13">
        <v>1.61</v>
      </c>
      <c r="Q17" s="19">
        <f t="shared" si="2"/>
        <v>16.100000000000001</v>
      </c>
      <c r="R17" s="2"/>
      <c r="S17" s="10" t="s">
        <v>87</v>
      </c>
      <c r="T17" s="13">
        <v>1.1494252873563218</v>
      </c>
      <c r="U17" s="13">
        <f t="shared" si="3"/>
        <v>0.65857217831129111</v>
      </c>
      <c r="V17" s="13">
        <v>1.1499999999999999</v>
      </c>
      <c r="W17" s="19">
        <f t="shared" si="4"/>
        <v>11.5</v>
      </c>
    </row>
    <row r="18" spans="1:23" ht="18.75" x14ac:dyDescent="0.3">
      <c r="A18" s="5" t="s">
        <v>13</v>
      </c>
      <c r="B18" s="6">
        <f>100/13</f>
        <v>7.6923076923076925</v>
      </c>
      <c r="C18" s="8">
        <f t="shared" si="6"/>
        <v>4.4073676548524867</v>
      </c>
      <c r="D18" s="8">
        <v>7.7</v>
      </c>
      <c r="E18" s="9">
        <f t="shared" si="7"/>
        <v>77</v>
      </c>
      <c r="F18" s="2"/>
      <c r="G18" s="5" t="s">
        <v>38</v>
      </c>
      <c r="H18" s="8">
        <f>100/38</f>
        <v>2.6315789473684212</v>
      </c>
      <c r="I18" s="8">
        <f t="shared" si="5"/>
        <v>1.5077836713969033</v>
      </c>
      <c r="J18" s="8">
        <v>2.63</v>
      </c>
      <c r="K18" s="9">
        <f t="shared" si="0"/>
        <v>26.299999999999997</v>
      </c>
      <c r="L18" s="2"/>
      <c r="M18" s="5" t="s">
        <v>63</v>
      </c>
      <c r="N18" s="8">
        <f>100/63</f>
        <v>1.5873015873015872</v>
      </c>
      <c r="O18" s="8">
        <f t="shared" si="1"/>
        <v>0.90945681766797337</v>
      </c>
      <c r="P18" s="8">
        <v>1.59</v>
      </c>
      <c r="Q18" s="9">
        <f t="shared" si="2"/>
        <v>15.9</v>
      </c>
      <c r="R18" s="2"/>
      <c r="S18" s="5" t="s">
        <v>88</v>
      </c>
      <c r="T18" s="8">
        <f>100/88</f>
        <v>1.1363636363636365</v>
      </c>
      <c r="U18" s="8">
        <f t="shared" si="3"/>
        <v>0.65108840355775366</v>
      </c>
      <c r="V18" s="8">
        <v>1.1399999999999999</v>
      </c>
      <c r="W18" s="9">
        <f t="shared" si="4"/>
        <v>11.399999999999999</v>
      </c>
    </row>
    <row r="19" spans="1:23" ht="18.75" x14ac:dyDescent="0.3">
      <c r="A19" s="10" t="s">
        <v>14</v>
      </c>
      <c r="B19" s="11">
        <f>100/14</f>
        <v>7.1428571428571432</v>
      </c>
      <c r="C19" s="13">
        <f t="shared" si="6"/>
        <v>4.0925556795058808</v>
      </c>
      <c r="D19" s="13">
        <v>7.1</v>
      </c>
      <c r="E19" s="19">
        <f t="shared" si="7"/>
        <v>71</v>
      </c>
      <c r="F19" s="2"/>
      <c r="G19" s="10" t="s">
        <v>39</v>
      </c>
      <c r="H19" s="13">
        <f>100/39</f>
        <v>2.5641025641025643</v>
      </c>
      <c r="I19" s="13">
        <f t="shared" si="5"/>
        <v>1.4691225516174955</v>
      </c>
      <c r="J19" s="13">
        <v>2.56</v>
      </c>
      <c r="K19" s="19">
        <f t="shared" si="0"/>
        <v>25.6</v>
      </c>
      <c r="L19" s="2"/>
      <c r="M19" s="10" t="s">
        <v>64</v>
      </c>
      <c r="N19" s="13">
        <f>100/64</f>
        <v>1.5625</v>
      </c>
      <c r="O19" s="13">
        <f t="shared" si="1"/>
        <v>0.89524655489191129</v>
      </c>
      <c r="P19" s="13">
        <v>1.56</v>
      </c>
      <c r="Q19" s="19">
        <f t="shared" si="2"/>
        <v>15.600000000000001</v>
      </c>
      <c r="R19" s="2"/>
      <c r="S19" s="10" t="s">
        <v>89</v>
      </c>
      <c r="T19" s="13">
        <f>100/89</f>
        <v>1.1235955056179776</v>
      </c>
      <c r="U19" s="13">
        <f t="shared" si="3"/>
        <v>0.64377280351777899</v>
      </c>
      <c r="V19" s="13">
        <v>1.1200000000000001</v>
      </c>
      <c r="W19" s="19">
        <f t="shared" si="4"/>
        <v>11.200000000000001</v>
      </c>
    </row>
    <row r="20" spans="1:23" ht="18.75" x14ac:dyDescent="0.3">
      <c r="A20" s="5" t="s">
        <v>15</v>
      </c>
      <c r="B20" s="6">
        <f>100/15</f>
        <v>6.666666666666667</v>
      </c>
      <c r="C20" s="8">
        <f t="shared" si="6"/>
        <v>3.8197186342054881</v>
      </c>
      <c r="D20" s="8">
        <v>6.7</v>
      </c>
      <c r="E20" s="9">
        <f t="shared" si="7"/>
        <v>67</v>
      </c>
      <c r="F20" s="2"/>
      <c r="G20" s="5" t="s">
        <v>40</v>
      </c>
      <c r="H20" s="8">
        <f>100/40</f>
        <v>2.5</v>
      </c>
      <c r="I20" s="8">
        <f t="shared" si="5"/>
        <v>1.4323944878270582</v>
      </c>
      <c r="J20" s="8">
        <v>2.5</v>
      </c>
      <c r="K20" s="9">
        <f t="shared" si="0"/>
        <v>25</v>
      </c>
      <c r="L20" s="2"/>
      <c r="M20" s="5" t="s">
        <v>65</v>
      </c>
      <c r="N20" s="8">
        <f>100/65</f>
        <v>1.5384615384615385</v>
      </c>
      <c r="O20" s="8">
        <f t="shared" si="1"/>
        <v>0.8814735309704973</v>
      </c>
      <c r="P20" s="8">
        <v>1.54</v>
      </c>
      <c r="Q20" s="9">
        <f t="shared" si="2"/>
        <v>15.4</v>
      </c>
      <c r="R20" s="2"/>
      <c r="S20" s="5" t="s">
        <v>90</v>
      </c>
      <c r="T20" s="8">
        <f>100/90</f>
        <v>1.1111111111111112</v>
      </c>
      <c r="U20" s="8">
        <f t="shared" si="3"/>
        <v>0.63661977236758138</v>
      </c>
      <c r="V20" s="8">
        <v>1.1100000000000001</v>
      </c>
      <c r="W20" s="9">
        <f t="shared" si="4"/>
        <v>11.100000000000001</v>
      </c>
    </row>
    <row r="21" spans="1:23" ht="18.75" x14ac:dyDescent="0.3">
      <c r="A21" s="10" t="s">
        <v>16</v>
      </c>
      <c r="B21" s="11">
        <f>100/16</f>
        <v>6.25</v>
      </c>
      <c r="C21" s="13">
        <f t="shared" si="6"/>
        <v>3.5809862195676452</v>
      </c>
      <c r="D21" s="13">
        <v>6.3</v>
      </c>
      <c r="E21" s="19">
        <f t="shared" si="7"/>
        <v>63</v>
      </c>
      <c r="F21" s="2"/>
      <c r="G21" s="10" t="s">
        <v>41</v>
      </c>
      <c r="H21" s="13">
        <f>100/41</f>
        <v>2.4390243902439024</v>
      </c>
      <c r="I21" s="13">
        <f t="shared" si="5"/>
        <v>1.3974580369044469</v>
      </c>
      <c r="J21" s="13">
        <v>2.44</v>
      </c>
      <c r="K21" s="19">
        <f t="shared" si="0"/>
        <v>24.4</v>
      </c>
      <c r="L21" s="2"/>
      <c r="M21" s="10" t="s">
        <v>66</v>
      </c>
      <c r="N21" s="13">
        <f>100/66</f>
        <v>1.5151515151515151</v>
      </c>
      <c r="O21" s="13">
        <f t="shared" si="1"/>
        <v>0.86811787141033825</v>
      </c>
      <c r="P21" s="13">
        <v>1.52</v>
      </c>
      <c r="Q21" s="19">
        <f t="shared" si="2"/>
        <v>15.2</v>
      </c>
      <c r="R21" s="2"/>
      <c r="S21" s="10" t="s">
        <v>91</v>
      </c>
      <c r="T21" s="13">
        <f>100/91</f>
        <v>1.098901098901099</v>
      </c>
      <c r="U21" s="13">
        <f t="shared" si="3"/>
        <v>0.62962395069321242</v>
      </c>
      <c r="V21" s="13">
        <v>1.1000000000000001</v>
      </c>
      <c r="W21" s="19">
        <f t="shared" si="4"/>
        <v>11</v>
      </c>
    </row>
    <row r="22" spans="1:23" ht="18.75" x14ac:dyDescent="0.3">
      <c r="A22" s="5" t="s">
        <v>17</v>
      </c>
      <c r="B22" s="6">
        <f>100/17</f>
        <v>5.882352941176471</v>
      </c>
      <c r="C22" s="8">
        <f t="shared" si="6"/>
        <v>3.370339971357784</v>
      </c>
      <c r="D22" s="8">
        <v>5.9</v>
      </c>
      <c r="E22" s="9">
        <f t="shared" si="7"/>
        <v>59</v>
      </c>
      <c r="F22" s="2"/>
      <c r="G22" s="5" t="s">
        <v>42</v>
      </c>
      <c r="H22" s="8">
        <f>100/42</f>
        <v>2.3809523809523809</v>
      </c>
      <c r="I22" s="8">
        <f t="shared" si="5"/>
        <v>1.3641852265019601</v>
      </c>
      <c r="J22" s="8">
        <v>2.38</v>
      </c>
      <c r="K22" s="9">
        <f t="shared" si="0"/>
        <v>23.799999999999997</v>
      </c>
      <c r="L22" s="2"/>
      <c r="M22" s="5" t="s">
        <v>67</v>
      </c>
      <c r="N22" s="8">
        <f>100/67</f>
        <v>1.4925373134328359</v>
      </c>
      <c r="O22" s="8">
        <f t="shared" si="1"/>
        <v>0.85516088825496017</v>
      </c>
      <c r="P22" s="8">
        <v>1.49</v>
      </c>
      <c r="Q22" s="9">
        <f t="shared" si="2"/>
        <v>14.9</v>
      </c>
      <c r="R22" s="2"/>
      <c r="S22" s="5" t="s">
        <v>92</v>
      </c>
      <c r="T22" s="8">
        <f>100/92</f>
        <v>1.0869565217391304</v>
      </c>
      <c r="U22" s="8">
        <f t="shared" si="3"/>
        <v>0.62278021209872092</v>
      </c>
      <c r="V22" s="8">
        <v>1.0900000000000001</v>
      </c>
      <c r="W22" s="9">
        <f t="shared" si="4"/>
        <v>10.9</v>
      </c>
    </row>
    <row r="23" spans="1:23" ht="18.75" x14ac:dyDescent="0.3">
      <c r="A23" s="10" t="s">
        <v>18</v>
      </c>
      <c r="B23" s="11">
        <f>100/18</f>
        <v>5.5555555555555554</v>
      </c>
      <c r="C23" s="13">
        <f t="shared" si="6"/>
        <v>3.1830988618379066</v>
      </c>
      <c r="D23" s="13">
        <v>5.6</v>
      </c>
      <c r="E23" s="19">
        <f t="shared" si="7"/>
        <v>56</v>
      </c>
      <c r="F23" s="2"/>
      <c r="G23" s="10" t="s">
        <v>43</v>
      </c>
      <c r="H23" s="13">
        <f>100/43</f>
        <v>2.3255813953488373</v>
      </c>
      <c r="I23" s="13">
        <f t="shared" si="5"/>
        <v>1.3324599886763331</v>
      </c>
      <c r="J23" s="13">
        <v>2.33</v>
      </c>
      <c r="K23" s="19">
        <f t="shared" si="0"/>
        <v>23.3</v>
      </c>
      <c r="L23" s="2"/>
      <c r="M23" s="10" t="s">
        <v>68</v>
      </c>
      <c r="N23" s="13">
        <f>100/68</f>
        <v>1.4705882352941178</v>
      </c>
      <c r="O23" s="13">
        <f t="shared" si="1"/>
        <v>0.84258499283944599</v>
      </c>
      <c r="P23" s="13">
        <v>1.47</v>
      </c>
      <c r="Q23" s="19">
        <f t="shared" si="2"/>
        <v>14.7</v>
      </c>
      <c r="R23" s="2"/>
      <c r="S23" s="10" t="s">
        <v>93</v>
      </c>
      <c r="T23" s="13">
        <f>100/93</f>
        <v>1.075268817204301</v>
      </c>
      <c r="U23" s="13">
        <f t="shared" si="3"/>
        <v>0.61608365067830451</v>
      </c>
      <c r="V23" s="13">
        <v>1.08</v>
      </c>
      <c r="W23" s="19">
        <f t="shared" si="4"/>
        <v>10.8</v>
      </c>
    </row>
    <row r="24" spans="1:23" ht="18.75" x14ac:dyDescent="0.3">
      <c r="A24" s="5" t="s">
        <v>19</v>
      </c>
      <c r="B24" s="6">
        <f>100/19</f>
        <v>5.2631578947368425</v>
      </c>
      <c r="C24" s="8">
        <f t="shared" si="6"/>
        <v>3.0155673427938066</v>
      </c>
      <c r="D24" s="8">
        <v>5.3</v>
      </c>
      <c r="E24" s="9">
        <f t="shared" si="7"/>
        <v>53</v>
      </c>
      <c r="F24" s="2"/>
      <c r="G24" s="5" t="s">
        <v>44</v>
      </c>
      <c r="H24" s="8">
        <f>100/44</f>
        <v>2.2727272727272729</v>
      </c>
      <c r="I24" s="8">
        <f t="shared" si="5"/>
        <v>1.3021768071155073</v>
      </c>
      <c r="J24" s="8">
        <v>0.27</v>
      </c>
      <c r="K24" s="9">
        <f t="shared" si="0"/>
        <v>2.7</v>
      </c>
      <c r="L24" s="2"/>
      <c r="M24" s="5" t="s">
        <v>69</v>
      </c>
      <c r="N24" s="8">
        <f>100/69</f>
        <v>1.4492753623188406</v>
      </c>
      <c r="O24" s="8">
        <f t="shared" si="1"/>
        <v>0.83037361613162786</v>
      </c>
      <c r="P24" s="8">
        <v>1.45</v>
      </c>
      <c r="Q24" s="9">
        <f t="shared" si="2"/>
        <v>14.5</v>
      </c>
      <c r="R24" s="2"/>
      <c r="S24" s="5" t="s">
        <v>94</v>
      </c>
      <c r="T24" s="8">
        <f>100/94</f>
        <v>1.0638297872340425</v>
      </c>
      <c r="U24" s="8">
        <f t="shared" si="3"/>
        <v>0.60952956928810975</v>
      </c>
      <c r="V24" s="8">
        <v>1.06</v>
      </c>
      <c r="W24" s="9">
        <f t="shared" si="4"/>
        <v>10.600000000000001</v>
      </c>
    </row>
    <row r="25" spans="1:23" ht="18.75" x14ac:dyDescent="0.3">
      <c r="A25" s="10" t="s">
        <v>20</v>
      </c>
      <c r="B25" s="11">
        <f>100/20</f>
        <v>5</v>
      </c>
      <c r="C25" s="13">
        <f t="shared" si="6"/>
        <v>2.8647889756541165</v>
      </c>
      <c r="D25" s="13">
        <v>5</v>
      </c>
      <c r="E25" s="19">
        <f t="shared" si="7"/>
        <v>50</v>
      </c>
      <c r="F25" s="2"/>
      <c r="G25" s="10" t="s">
        <v>45</v>
      </c>
      <c r="H25" s="13">
        <f>100/45</f>
        <v>2.2222222222222223</v>
      </c>
      <c r="I25" s="13">
        <f t="shared" si="5"/>
        <v>1.2732395447351628</v>
      </c>
      <c r="J25" s="13">
        <v>2.2200000000000002</v>
      </c>
      <c r="K25" s="19">
        <f t="shared" si="0"/>
        <v>22.200000000000003</v>
      </c>
      <c r="L25" s="2"/>
      <c r="M25" s="10" t="s">
        <v>70</v>
      </c>
      <c r="N25" s="13">
        <f>100/70</f>
        <v>1.4285714285714286</v>
      </c>
      <c r="O25" s="13">
        <f t="shared" si="1"/>
        <v>0.81851113590117597</v>
      </c>
      <c r="P25" s="13">
        <v>1.43</v>
      </c>
      <c r="Q25" s="19">
        <f t="shared" si="2"/>
        <v>14.299999999999999</v>
      </c>
      <c r="R25" s="2"/>
      <c r="S25" s="10" t="s">
        <v>95</v>
      </c>
      <c r="T25" s="13">
        <f>100/95</f>
        <v>1.0526315789473684</v>
      </c>
      <c r="U25" s="13">
        <f t="shared" si="3"/>
        <v>0.60311346855876125</v>
      </c>
      <c r="V25" s="13">
        <v>1.05</v>
      </c>
      <c r="W25" s="19">
        <f t="shared" si="4"/>
        <v>10.5</v>
      </c>
    </row>
    <row r="26" spans="1:23" ht="18.75" x14ac:dyDescent="0.3">
      <c r="A26" s="5" t="s">
        <v>21</v>
      </c>
      <c r="B26" s="6">
        <f>100/21</f>
        <v>4.7619047619047619</v>
      </c>
      <c r="C26" s="8">
        <f>DEGREES(B26/100/1)</f>
        <v>2.7283704530039201</v>
      </c>
      <c r="D26" s="8">
        <v>4.8</v>
      </c>
      <c r="E26" s="9">
        <f t="shared" si="7"/>
        <v>48</v>
      </c>
      <c r="F26" s="2"/>
      <c r="G26" s="5" t="s">
        <v>46</v>
      </c>
      <c r="H26" s="8">
        <f>100/46</f>
        <v>2.1739130434782608</v>
      </c>
      <c r="I26" s="8">
        <f t="shared" si="5"/>
        <v>1.2455604241974418</v>
      </c>
      <c r="J26" s="8">
        <v>2.17</v>
      </c>
      <c r="K26" s="9">
        <f t="shared" si="0"/>
        <v>21.7</v>
      </c>
      <c r="L26" s="2"/>
      <c r="M26" s="5" t="s">
        <v>71</v>
      </c>
      <c r="N26" s="8">
        <f>100/71</f>
        <v>1.408450704225352</v>
      </c>
      <c r="O26" s="8">
        <f t="shared" si="1"/>
        <v>0.80698281004341288</v>
      </c>
      <c r="P26" s="8">
        <v>1.41</v>
      </c>
      <c r="Q26" s="9">
        <f t="shared" si="2"/>
        <v>14.1</v>
      </c>
      <c r="R26" s="2"/>
      <c r="S26" s="5" t="s">
        <v>96</v>
      </c>
      <c r="T26" s="8">
        <f>100/96</f>
        <v>1.0416666666666667</v>
      </c>
      <c r="U26" s="8">
        <f t="shared" si="3"/>
        <v>0.59683103659460757</v>
      </c>
      <c r="V26" s="8">
        <v>1.04</v>
      </c>
      <c r="W26" s="9">
        <f t="shared" si="4"/>
        <v>10.4</v>
      </c>
    </row>
    <row r="27" spans="1:23" ht="18.75" x14ac:dyDescent="0.3">
      <c r="A27" s="10" t="s">
        <v>22</v>
      </c>
      <c r="B27" s="11">
        <f>100/22</f>
        <v>4.5454545454545459</v>
      </c>
      <c r="C27" s="13">
        <f t="shared" ref="C27:C28" si="8">DEGREES(B27/100/1)</f>
        <v>2.6043536142310146</v>
      </c>
      <c r="D27" s="13">
        <v>4.5</v>
      </c>
      <c r="E27" s="19">
        <f t="shared" si="7"/>
        <v>45</v>
      </c>
      <c r="F27" s="2"/>
      <c r="G27" s="10" t="s">
        <v>47</v>
      </c>
      <c r="H27" s="13">
        <f>100/47</f>
        <v>2.1276595744680851</v>
      </c>
      <c r="I27" s="13">
        <f t="shared" si="5"/>
        <v>1.2190591385762195</v>
      </c>
      <c r="J27" s="13">
        <v>2.13</v>
      </c>
      <c r="K27" s="19">
        <f t="shared" si="0"/>
        <v>21.299999999999997</v>
      </c>
      <c r="L27" s="2"/>
      <c r="M27" s="10" t="s">
        <v>72</v>
      </c>
      <c r="N27" s="13">
        <f>100/72</f>
        <v>1.3888888888888888</v>
      </c>
      <c r="O27" s="13">
        <f t="shared" si="1"/>
        <v>0.79577471545947664</v>
      </c>
      <c r="P27" s="13">
        <v>1.39</v>
      </c>
      <c r="Q27" s="19">
        <f t="shared" si="2"/>
        <v>13.899999999999999</v>
      </c>
      <c r="R27" s="2"/>
      <c r="S27" s="10" t="s">
        <v>97</v>
      </c>
      <c r="T27" s="13">
        <f>100/97</f>
        <v>1.0309278350515463</v>
      </c>
      <c r="U27" s="13">
        <f t="shared" si="3"/>
        <v>0.59067813931012692</v>
      </c>
      <c r="V27" s="13">
        <v>1.03</v>
      </c>
      <c r="W27" s="19">
        <f t="shared" si="4"/>
        <v>10.3</v>
      </c>
    </row>
    <row r="28" spans="1:23" ht="18.75" x14ac:dyDescent="0.3">
      <c r="A28" s="5" t="s">
        <v>23</v>
      </c>
      <c r="B28" s="6">
        <f>100/23</f>
        <v>4.3478260869565215</v>
      </c>
      <c r="C28" s="8">
        <f t="shared" si="8"/>
        <v>2.4911208483948837</v>
      </c>
      <c r="D28" s="8">
        <v>4.3</v>
      </c>
      <c r="E28" s="9">
        <f t="shared" si="7"/>
        <v>43</v>
      </c>
      <c r="F28" s="2"/>
      <c r="G28" s="5" t="s">
        <v>48</v>
      </c>
      <c r="H28" s="8">
        <f>100/48</f>
        <v>2.0833333333333335</v>
      </c>
      <c r="I28" s="8">
        <f t="shared" si="5"/>
        <v>1.1936620731892151</v>
      </c>
      <c r="J28" s="8">
        <v>2.08</v>
      </c>
      <c r="K28" s="9">
        <f t="shared" si="0"/>
        <v>20.8</v>
      </c>
      <c r="L28" s="2"/>
      <c r="M28" s="5" t="s">
        <v>73</v>
      </c>
      <c r="N28" s="8">
        <f>100/73</f>
        <v>1.3698630136986301</v>
      </c>
      <c r="O28" s="8">
        <f t="shared" si="1"/>
        <v>0.78487369196003176</v>
      </c>
      <c r="P28" s="8">
        <v>1.37</v>
      </c>
      <c r="Q28" s="9">
        <f t="shared" si="2"/>
        <v>13.700000000000001</v>
      </c>
      <c r="R28" s="2"/>
      <c r="S28" s="5" t="s">
        <v>98</v>
      </c>
      <c r="T28" s="8">
        <f>100/98</f>
        <v>1.0204081632653061</v>
      </c>
      <c r="U28" s="8">
        <f t="shared" si="3"/>
        <v>0.58465081135798291</v>
      </c>
      <c r="V28" s="8">
        <v>1.02</v>
      </c>
      <c r="W28" s="9">
        <f t="shared" si="4"/>
        <v>10.199999999999999</v>
      </c>
    </row>
    <row r="29" spans="1:23" ht="18.75" x14ac:dyDescent="0.3">
      <c r="A29" s="10" t="s">
        <v>24</v>
      </c>
      <c r="B29" s="11">
        <f>100/24</f>
        <v>4.166666666666667</v>
      </c>
      <c r="C29" s="13">
        <f>DEGREES(B29/100/1)</f>
        <v>2.3873241463784303</v>
      </c>
      <c r="D29" s="13">
        <v>4.2</v>
      </c>
      <c r="E29" s="19">
        <f t="shared" si="7"/>
        <v>42</v>
      </c>
      <c r="F29" s="2"/>
      <c r="G29" s="10" t="s">
        <v>49</v>
      </c>
      <c r="H29" s="13">
        <f>100/49</f>
        <v>2.0408163265306123</v>
      </c>
      <c r="I29" s="13">
        <f t="shared" si="5"/>
        <v>1.1693016227159658</v>
      </c>
      <c r="J29" s="13">
        <v>2.04</v>
      </c>
      <c r="K29" s="19">
        <f t="shared" si="0"/>
        <v>20.399999999999999</v>
      </c>
      <c r="L29" s="2"/>
      <c r="M29" s="10" t="s">
        <v>74</v>
      </c>
      <c r="N29" s="13">
        <f>100/74</f>
        <v>1.3513513513513513</v>
      </c>
      <c r="O29" s="13">
        <f t="shared" si="1"/>
        <v>0.77426729071732858</v>
      </c>
      <c r="P29" s="13">
        <v>1.35</v>
      </c>
      <c r="Q29" s="19">
        <f t="shared" si="2"/>
        <v>13.5</v>
      </c>
      <c r="R29" s="2"/>
      <c r="S29" s="10" t="s">
        <v>99</v>
      </c>
      <c r="T29" s="13">
        <f>100/99</f>
        <v>1.0101010101010102</v>
      </c>
      <c r="U29" s="13">
        <f>DEGREES(T29/100/1)</f>
        <v>0.57874524760689217</v>
      </c>
      <c r="V29" s="13">
        <v>1.01</v>
      </c>
      <c r="W29" s="19">
        <f t="shared" si="4"/>
        <v>10.1</v>
      </c>
    </row>
    <row r="30" spans="1:23" ht="19.5" thickBot="1" x14ac:dyDescent="0.35">
      <c r="A30" s="15" t="s">
        <v>25</v>
      </c>
      <c r="B30" s="16">
        <f>100/25</f>
        <v>4</v>
      </c>
      <c r="C30" s="17">
        <f>DEGREES(B30/100/1)</f>
        <v>2.2918311805232929</v>
      </c>
      <c r="D30" s="17">
        <v>4</v>
      </c>
      <c r="E30" s="18">
        <f t="shared" si="7"/>
        <v>40</v>
      </c>
      <c r="F30" s="2"/>
      <c r="G30" s="15" t="s">
        <v>50</v>
      </c>
      <c r="H30" s="17">
        <f>100/50</f>
        <v>2</v>
      </c>
      <c r="I30" s="17">
        <f t="shared" si="5"/>
        <v>1.1459155902616465</v>
      </c>
      <c r="J30" s="17">
        <v>2</v>
      </c>
      <c r="K30" s="18">
        <f t="shared" si="0"/>
        <v>20</v>
      </c>
      <c r="L30" s="2"/>
      <c r="M30" s="15" t="s">
        <v>75</v>
      </c>
      <c r="N30" s="17">
        <f>100/75</f>
        <v>1.3333333333333333</v>
      </c>
      <c r="O30" s="17">
        <f t="shared" si="1"/>
        <v>0.76394372684109757</v>
      </c>
      <c r="P30" s="17">
        <v>1.33</v>
      </c>
      <c r="Q30" s="18">
        <f t="shared" si="2"/>
        <v>13.3</v>
      </c>
      <c r="R30" s="2"/>
      <c r="S30" s="15" t="s">
        <v>100</v>
      </c>
      <c r="T30" s="17">
        <f>100/100</f>
        <v>1</v>
      </c>
      <c r="U30" s="17">
        <f>DEGREES(T30/100/1)</f>
        <v>0.57295779513082323</v>
      </c>
      <c r="V30" s="17">
        <v>1</v>
      </c>
      <c r="W30" s="18">
        <f t="shared" si="4"/>
        <v>10</v>
      </c>
    </row>
    <row r="32" spans="1:23" ht="15.75" thickBot="1" x14ac:dyDescent="0.3"/>
    <row r="33" spans="1:22" ht="20.100000000000001" customHeight="1" thickBot="1" x14ac:dyDescent="0.3">
      <c r="A33" s="36" t="s">
        <v>106</v>
      </c>
      <c r="B33" s="39"/>
    </row>
    <row r="34" spans="1:22" ht="15.75" thickBot="1" x14ac:dyDescent="0.3"/>
    <row r="35" spans="1:22" ht="20.100000000000001" customHeight="1" thickBot="1" x14ac:dyDescent="0.3">
      <c r="A35" s="27" t="s">
        <v>111</v>
      </c>
      <c r="B35" s="28"/>
      <c r="C35" s="28"/>
      <c r="D35" s="29"/>
      <c r="E35" s="27" t="s">
        <v>105</v>
      </c>
      <c r="F35" s="28"/>
      <c r="G35" s="28"/>
      <c r="H35" s="28"/>
      <c r="I35" s="29"/>
      <c r="K35" s="33" t="s">
        <v>113</v>
      </c>
      <c r="L35" s="34"/>
      <c r="M35" s="35"/>
    </row>
    <row r="36" spans="1:22" ht="15.75" thickBot="1" x14ac:dyDescent="0.3"/>
    <row r="37" spans="1:22" ht="20.100000000000001" customHeight="1" thickBot="1" x14ac:dyDescent="0.3">
      <c r="A37" s="27" t="s">
        <v>104</v>
      </c>
      <c r="B37" s="28"/>
      <c r="C37" s="28"/>
      <c r="D37" s="29"/>
      <c r="E37" s="27" t="s">
        <v>112</v>
      </c>
      <c r="F37" s="28"/>
      <c r="G37" s="28"/>
      <c r="H37" s="28"/>
      <c r="I37" s="29"/>
    </row>
    <row r="38" spans="1:22" ht="15.75" thickBot="1" x14ac:dyDescent="0.3"/>
    <row r="39" spans="1:22" ht="20.100000000000001" customHeight="1" thickBot="1" x14ac:dyDescent="0.3">
      <c r="A39" s="36" t="s">
        <v>107</v>
      </c>
      <c r="B39" s="37"/>
      <c r="C39" s="37"/>
      <c r="D39" s="37"/>
      <c r="E39" s="37"/>
      <c r="F39" s="37"/>
      <c r="G39" s="37"/>
      <c r="H39" s="37"/>
      <c r="I39" s="38"/>
      <c r="T39" s="24" t="s">
        <v>110</v>
      </c>
      <c r="U39" s="25"/>
      <c r="V39" s="26"/>
    </row>
    <row r="44" spans="1:22" ht="15.75" thickBot="1" x14ac:dyDescent="0.3"/>
    <row r="45" spans="1:22" ht="15.75" thickBot="1" x14ac:dyDescent="0.3">
      <c r="G45" s="3"/>
    </row>
  </sheetData>
  <mergeCells count="9">
    <mergeCell ref="T39:V39"/>
    <mergeCell ref="E35:I35"/>
    <mergeCell ref="E37:I37"/>
    <mergeCell ref="I1:O1"/>
    <mergeCell ref="K35:M35"/>
    <mergeCell ref="A39:I39"/>
    <mergeCell ref="A37:D37"/>
    <mergeCell ref="A35:D35"/>
    <mergeCell ref="A33:B33"/>
  </mergeCells>
  <pageMargins left="0.7" right="0.7" top="0.75" bottom="0.75" header="0.3" footer="0.3"/>
  <pageSetup paperSize="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Hvidkjær</dc:creator>
  <cp:lastModifiedBy>tobias</cp:lastModifiedBy>
  <cp:lastPrinted>2019-01-25T08:59:38Z</cp:lastPrinted>
  <dcterms:created xsi:type="dcterms:W3CDTF">2019-01-24T18:20:22Z</dcterms:created>
  <dcterms:modified xsi:type="dcterms:W3CDTF">2019-09-22T19:00:42Z</dcterms:modified>
</cp:coreProperties>
</file>